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1c\MOST_002\Документы ГЗ\ЛС и ИМН\2022\Протокола 2022г\"/>
    </mc:Choice>
  </mc:AlternateContent>
  <bookViews>
    <workbookView xWindow="0" yWindow="0" windowWidth="20490" windowHeight="7620"/>
  </bookViews>
  <sheets>
    <sheet name="МИ"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МИ!$A$1:$O$63</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O53" i="1" l="1"/>
  <c r="M53" i="1"/>
  <c r="K53" i="1"/>
  <c r="I53" i="1"/>
  <c r="I52" i="1"/>
  <c r="I51" i="1"/>
  <c r="I46" i="1"/>
  <c r="I47" i="1"/>
  <c r="I48" i="1"/>
  <c r="I45" i="1"/>
  <c r="O41" i="1"/>
  <c r="O42" i="1"/>
  <c r="O43" i="1"/>
  <c r="O40" i="1"/>
  <c r="M17" i="1"/>
  <c r="M18" i="1"/>
  <c r="M19" i="1"/>
  <c r="M20" i="1"/>
  <c r="M21" i="1"/>
  <c r="M22" i="1"/>
  <c r="M23" i="1"/>
  <c r="M24" i="1"/>
  <c r="M25" i="1"/>
  <c r="M26" i="1"/>
  <c r="M27" i="1"/>
  <c r="M28" i="1"/>
  <c r="M29" i="1"/>
  <c r="M30" i="1"/>
  <c r="M31" i="1"/>
  <c r="M32" i="1"/>
  <c r="M33" i="1"/>
  <c r="M34" i="1"/>
  <c r="M35" i="1"/>
  <c r="M36" i="1"/>
  <c r="M37" i="1"/>
  <c r="M38" i="1"/>
  <c r="M16" i="1"/>
  <c r="K9" i="1"/>
  <c r="K8" i="1"/>
  <c r="F8" i="1" l="1"/>
  <c r="G8" i="1" s="1"/>
  <c r="F9" i="1"/>
  <c r="G9" i="1"/>
  <c r="G7" i="1" l="1"/>
  <c r="F50" i="1" l="1"/>
  <c r="F35" i="1"/>
  <c r="F27" i="1"/>
  <c r="F26" i="1"/>
  <c r="F19" i="1"/>
  <c r="F14" i="1"/>
  <c r="F42" i="1" l="1"/>
  <c r="F41" i="1"/>
  <c r="F22" i="1" l="1"/>
  <c r="F18" i="1"/>
  <c r="G18" i="1" s="1"/>
  <c r="F43" i="1"/>
  <c r="E13" i="1" l="1"/>
  <c r="F52" i="1" l="1"/>
  <c r="F51" i="1"/>
  <c r="G51" i="1" s="1"/>
  <c r="F48" i="1"/>
  <c r="G48" i="1" s="1"/>
  <c r="F47" i="1"/>
  <c r="G47" i="1" s="1"/>
  <c r="F46" i="1"/>
  <c r="G46" i="1" s="1"/>
  <c r="F45" i="1" l="1"/>
  <c r="G41" i="1"/>
  <c r="G42" i="1"/>
  <c r="F40" i="1"/>
  <c r="F37" i="1"/>
  <c r="G37" i="1" s="1"/>
  <c r="F38" i="1"/>
  <c r="F36" i="1"/>
  <c r="F34" i="1"/>
  <c r="G34" i="1" s="1"/>
  <c r="F33" i="1"/>
  <c r="G33" i="1" s="1"/>
  <c r="F32" i="1"/>
  <c r="G32" i="1" s="1"/>
  <c r="F31" i="1"/>
  <c r="G31" i="1" s="1"/>
  <c r="F30" i="1"/>
  <c r="G30" i="1" s="1"/>
  <c r="F28" i="1" l="1"/>
  <c r="G28" i="1" s="1"/>
  <c r="F29" i="1"/>
  <c r="G27" i="1"/>
  <c r="G26" i="1"/>
  <c r="F25" i="1"/>
  <c r="G25" i="1" s="1"/>
  <c r="F24" i="1"/>
  <c r="G24" i="1"/>
  <c r="G22" i="1" l="1"/>
  <c r="F23" i="1"/>
  <c r="G36" i="1"/>
  <c r="F21" i="1"/>
  <c r="G21" i="1" s="1"/>
  <c r="F20" i="1"/>
  <c r="G20" i="1" s="1"/>
  <c r="F17" i="1"/>
  <c r="G17" i="1" s="1"/>
  <c r="F16" i="1"/>
  <c r="G16" i="1" s="1"/>
  <c r="F13" i="1" l="1"/>
  <c r="F12" i="1"/>
  <c r="F11" i="1"/>
  <c r="G13" i="1" l="1"/>
  <c r="G45" i="1" l="1"/>
  <c r="G44" i="1" s="1"/>
  <c r="G50" i="1"/>
  <c r="G52" i="1"/>
  <c r="G43" i="1"/>
  <c r="G40" i="1"/>
  <c r="G39" i="1" s="1"/>
  <c r="G12" i="1"/>
  <c r="G14" i="1"/>
  <c r="G11" i="1"/>
  <c r="G10" i="1" l="1"/>
  <c r="G49" i="1"/>
  <c r="G38" i="1"/>
  <c r="G35" i="1"/>
  <c r="G29" i="1"/>
  <c r="G23" i="1"/>
  <c r="G19" i="1"/>
  <c r="G53" i="1" l="1"/>
  <c r="G15" i="1"/>
</calcChain>
</file>

<file path=xl/sharedStrings.xml><?xml version="1.0" encoding="utf-8"?>
<sst xmlns="http://schemas.openxmlformats.org/spreadsheetml/2006/main" count="154" uniqueCount="117">
  <si>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</si>
  <si>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</si>
  <si>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</si>
  <si>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</si>
  <si>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</si>
  <si>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</si>
  <si>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</si>
  <si>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</si>
  <si>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</si>
  <si>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Описание лекарственного средства и медицинского изделия (краткая характеристика)</t>
  </si>
  <si>
    <t>набор</t>
  </si>
  <si>
    <t>Сумма закупа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</si>
  <si>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</si>
  <si>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Альфа-амилаза (AMS)</t>
  </si>
  <si>
    <t>Холестерин  (CHOL/TC)</t>
  </si>
  <si>
    <t>Гаммаглютаминтрансфераза (GGT)</t>
  </si>
  <si>
    <t>Магний (MG)</t>
  </si>
  <si>
    <t>Фосфор (Р)</t>
  </si>
  <si>
    <t>флакон</t>
  </si>
  <si>
    <t>канистра</t>
  </si>
  <si>
    <t xml:space="preserve">Набор контрольных растворов </t>
  </si>
  <si>
    <t>Специальный разбавитель, предназначенный для разведения цельной крови при подсчете форменных элементов. В составе не должно содержаться никаких вредных веществ.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 Упаковка должна быть маркирована специальным штриховым кодом совместимым со считывателем для закрытой системы XP-300.Упаковка не менее 20 литров</t>
  </si>
  <si>
    <t>Специальный жидкий реагент, предназначенный для лизирования эритроцитов при подсчете гемоглобина. В составе не должны содержаться цианиды и азиды. Упаковка должна быть маркирована специальным штриховым кодом совместимым со считывателем для закрытой системы XP-300. Упаковка не менее 3*500мл, совместимая со специальным держателем в приборе.</t>
  </si>
  <si>
    <t>упаковка</t>
  </si>
  <si>
    <t>Реагенты на гематологический анализатор  Sysmex XP-300</t>
  </si>
  <si>
    <t>АПТВ-тест (100 определений)</t>
  </si>
  <si>
    <t>Набор АПТВ-тест предназначен для выполнения базовой методики исследования системы гемостаза - определения активированного парциального (частичного) тромбоп­лас­ти­но­во­го времени (АПТВ или АЧТВ).Состав набора:  Кефалин (лиофильно высушенный фосфолипидный компонент), на 1 мл - 2 фл., Каолин (концентрированная суспензия 40:1 в дистиллированной воде), 1 мл - 1 фл.,  Буфер трис-НСI (концентрированный 20:1 раствор, 1 М),  2 мл  - 1 фл. ,. Кальция хлорид (концентрированный 20:1 раствор, 0,5 М), 2 мл - 1 фл. Набор рассчитан на проведение не менее 100-200 анализов при расходе рабочих растворов реагентов по 0,1-0,05 мл на 1 анализ</t>
  </si>
  <si>
    <t>Иктофан № 50</t>
  </si>
  <si>
    <t>Медицинские изделия</t>
  </si>
  <si>
    <t>Очищающий раствор для работы на автоматических гематологических анализаторах серии Sysmex (1000мл)</t>
  </si>
  <si>
    <t>Универсальный дилюент 20л на автоматический гематологический анализатор Sysmex XP-300</t>
  </si>
  <si>
    <t>Лизирующий реагент 3 х 500 мл  на автоматический гематологический анализатор Sysmex XP-300</t>
  </si>
  <si>
    <t>Набор контрольной крови на автоматический гематологический анализатор Sysmex XP-300</t>
  </si>
  <si>
    <t>Набор контрольной крови для Sysmex XP 300 входит: Контрольная кровь (высокий уровень) для проверки прецизионности и точности гематологических анализаторов по 16 диагностическим и 6 сервисным параметрам 12*1.5 мл - не менее 1 шт.  Контрольная кровь (низский уровень) для проверки прецизионности и точности гематологических анализаторов по 16 диагностическим и 6 сервисным параметрам 12*1.5 мл - не менее 1 шт.  Контрольная кровь (норма) для проверки прецизионности и точности гематологических анализаторов по 16 диагностическим и 6 сервисным параметрам 12*1.5 мл - не менее 1 шт. Дополнительно вкладыш должен иметь специальный штриховой код совместимый со считывателем для закрытой системы XP-300 для автоматического ввода референтных параметров в память прибора.</t>
  </si>
  <si>
    <t>АЛТ  ( GOT/ALT)</t>
  </si>
  <si>
    <t>АСТ   (GOT/AST)</t>
  </si>
  <si>
    <t>Белок общий (TP)</t>
  </si>
  <si>
    <t>Билирубин общий (TBIL/VOX)</t>
  </si>
  <si>
    <t>Билирубин прямой (DBIL/VOX)</t>
  </si>
  <si>
    <t>Глюкоза (GLU-GodPap)</t>
  </si>
  <si>
    <t>Кальций общий (Са)</t>
  </si>
  <si>
    <t>Креатинин (CREA-J)</t>
  </si>
  <si>
    <t>Мочевая кислота (UA)</t>
  </si>
  <si>
    <t>Мочевина (BUN/UREA)</t>
  </si>
  <si>
    <t>Сывороточный мультикалибратор (10*3)</t>
  </si>
  <si>
    <t>Сывороточное железо (FE)</t>
  </si>
  <si>
    <t>Триглицериды (TG)</t>
  </si>
  <si>
    <t>Щелочная фосфотаза (ALP)</t>
  </si>
  <si>
    <t>Реактивы для исследования  системы гемостаза</t>
  </si>
  <si>
    <t>Тех-пластин тест (100 определений)</t>
  </si>
  <si>
    <t xml:space="preserve">Техпластин-тест 4*25 тестов. Техпластин-тест предназначен для оценки протромбинового времени свертывания. Тромбопластин (фактор III, тромбокиназа) превращает протромбин плазмы крови в присутствии ионов кальция в активный фермент тромбин, трансформирующий фибри-ноген плазмы крови в нерастворимый фибрин. Измеряется протромбиновое время - время образования фибрина в плазме крови в присутствии ионов кальция и тромбо-пластина (растворимого экстракта из мозга кролика). </t>
  </si>
  <si>
    <t>РФМК-тест (200 определений)</t>
  </si>
  <si>
    <t xml:space="preserve">Набор РФМК-тест предназначен для определения в плазме крови раст­во­римых фибрин-мономерных комплексов (РФМК), являющихся маркерами внутри­сосудис­то­го свертывания крови при тромбозах, тромбоэмболиях, ДВС-синдромах раз­лич­ного генеза. Принцип метода определения РФМК в плазме крови заключается в появлении в плазме, содер-    ж­ащей РФМК, зёрен (паракоагулята) фибрина после добавления к ней раствора фенантролина. Состав набора: 1. Орто-фенантролина гидрохлорид, 70 мг - 2 фл. 2. Контроль-минус (лиофилизированная плазма крови человека, не содер­жа­щая РФМК), на 1 мл - 1 фл. 3. Контроль-плюс (лиофилизированная плазма крови человека, содержащая РФМК), на 1 мл - 1 фл. </t>
  </si>
  <si>
    <t>Контрольная плазма для гемостаза</t>
  </si>
  <si>
    <t>Реагенты для общеклинических исследований</t>
  </si>
  <si>
    <t>Диафан № 50</t>
  </si>
  <si>
    <t>Реагент является лиофилизированной смесью бедной тромбоцитами плазмы крови,полученной не менее, чем от 20 здоровых людей.РНП-плазма стабилизирована цитратом натрия, обследована на инфицированность вирусами  гепатита В и ВИЧ.РНП-плазму применяют для стандартизации биологических реагентов, использующих в различных тестах при исследовании системы гемостаза и получения контрольных результатов, а также для проведения контроля качества анализов.РНП-плазму применяют в качестве контроля в следующих тестах: протромбиновое время свертывания,Активированное парциональное (частично0 тромбопластиновое времясвертывания (АПТВ/АЧТВ).Фасовка: референтная нормальная пулированная плазма (РНП-плазма)(лиофильно высушенная контрольная плазма крови человека с нормальным диапозоном значения), на 1 мл во флаконе.</t>
  </si>
  <si>
    <t>Альбумин (ALB)</t>
  </si>
  <si>
    <t xml:space="preserve">Гематологический реагент LH </t>
  </si>
  <si>
    <t>Гематологический реагент DIFF</t>
  </si>
  <si>
    <t>Моющий раствор, детергент</t>
  </si>
  <si>
    <t xml:space="preserve">Контрольная сыворотка НОРМА (QC N) уровень 1 </t>
  </si>
  <si>
    <t>Контрольная сыворотка ПАТОЛОГИЯ  (QC Р) уровень 2</t>
  </si>
  <si>
    <t>Диагностические реагенты для автоматического биохимического анализатора закрытого типа Mindray BS-200E</t>
  </si>
  <si>
    <t>Диагностические реагенты для автоматического гематологического анализатора закрытого типа Mindray BС-5000</t>
  </si>
  <si>
    <t>Изотонический разбавитель, дилюент</t>
  </si>
  <si>
    <t>Чистящий раствор (1000мл) на автоматический гематологический анализатор Sysmex</t>
  </si>
  <si>
    <t>Двухкомпонентный набор реагентов для определения GOT/ALT.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</si>
  <si>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Двухкомпонентный набор реагентов для определения GOT/AST.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</si>
  <si>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Однокомпонентный набор реагентов для определения ALB.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</si>
  <si>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Двухкомпонентный набор реагентов для определения AMS. Объем рабочего раствора не менее 48мл.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</si>
  <si>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Однокомпонентный набор реагентов для определения TP.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должнен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</si>
  <si>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Двухкомпонентный набор реагентов для определения TBIL/VOX.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</si>
  <si>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Двухкомпонентный набор реагентов для определения DBIL/VOX.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</si>
  <si>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Двухкомпонентный набор реагентов для определения GGT.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</si>
  <si>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Двухкомпонентный набор реагентов для определения GLU-GodPap. Объем рабочего раствора не менее 200мл.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</si>
  <si>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Однокомпонентный набор реагентов для определения Са.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</si>
  <si>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Лиофильно высушенная сыворотка для проведения QC, с аттестованными нормальными значениями (N) для аналитов биохимии, липидного спектра, специфических белков.. При разведении лиофильной сыворотки, объем готового контрольного раствора не менее 30мл. Набор контрольной сыворотки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 Для автоматического биохимического анализатора закрытого типа Mindray BS-200E</t>
  </si>
  <si>
    <t>Лиофильно высушенная сыворотка для проведения QC, с аттестованными нормальными значениями (Р) для аналитов биохимии, липидного спектра, специфических белков. При разведении лиофильной сыворотки, объем готового контрольного раствора не менее 30мл. Набор контрольной сыворотки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 Для автоматического биохимического анализатора закрытого типа Mindray BS-200E</t>
  </si>
  <si>
    <t>Двухкомпонентный набор реагентов для определения CREA-J. Объем рабочего раствора не менее 210мл.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</si>
  <si>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Однокомпонентный набор реагентов для определения MG.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</si>
  <si>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Двухкомпонентный набор реагентов для определения UA. Объем рабочего раствора не менее 200мл.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</si>
  <si>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 xml:space="preserve">Двухкомпонентный набор реагентов для определения BUN/UREA.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 </t>
  </si>
  <si>
    <t>Одноуровневый мультикалибратор для однокомпонентных и двухкомпонентных тестов. Лиофильно высушенная сыворотка с аттестованными значениями аналитов для калибровки тестов: GOT/ALT, GOT/AST, ALB, AMS, GGT, GLU-GodPap, FE, CREA-J, LDH, MG, BUN/UREA, TP, TBIL/VOX, DBIL/VOX, CHOL/TC, TG, ALP, UA. При разведении лиофильной сыворотки, объем готового калибратора не менее 30мл. Набор мультикалибратора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 Для автоматического биохимического анализатора закрытого типа Mindray BS-200E</t>
  </si>
  <si>
    <t>Двухкомпонентный набор реагентов для определения FE. Объем рабочего раствора не менее 96мл.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</si>
  <si>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Однокомпонентный набор реагентов для определения TG.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должнен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</si>
  <si>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Однокомпонентный набор реагентов для определения Р.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</si>
  <si>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Однокомпонентный набор реагентов для определения CHOL/TC.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</si>
  <si>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Двухкомпонентный набор реагентов для определения ALP.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Mindray BS-200E</t>
  </si>
  <si>
    <t>Специальный жидкий реагент типа DIFF, предназначенный для одновременного лизирования красных кровяных клеток, дифференцировки лейкоцитов по 5 субпопуляциям и химического окрашивания базофилов и эозинофилов.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500мл.Для автоматического гематологического анализатора закрытого типа Mindray ВС-5000.</t>
  </si>
  <si>
    <t>Специальный жидкий реагент типа LH, предназначенный для лизирования красных кровяных клеток и химического окрашивания гемоглобина.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100мл.Для автоматического гематологического анализатора закрытого типа Mindray ВС-5000.</t>
  </si>
  <si>
    <t>Специальный концентрированный реагент, детергент типа CD80. Реагент предназначен для приготовления моющего раствора использующегося для промывки блока реакционных кювет, дозирующих зондов, миксера. Готовый раствор не должен обладать коррозийными и окисляющими свойствами при контакте с деталями анализатора. Фасовка концентрата должна быть не менее 1 литра. Должно хватать для приготовления не менее чем 15 литров моющего раствора. Для автоматического биохимического анализатора закрытого типа Mindray BS-200E</t>
  </si>
  <si>
    <t>Специальный разбавитель, дилюент, предназначенный для разведения цельной крови при подсчете форменных элементов. В составе не должно содержаться никаких вредных веществ.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 Упаковка должна быть маркирована специальным штриховым кодом совместимым со считывателем для закрытой гематологический системы. .Объем упаковки не менее 20 литров.Для автоматического гематологического анализатора закрытого типа Mindray ВС-5000.</t>
  </si>
  <si>
    <t>Тест-полоски для глюкометра Accu-Chek Active № 50</t>
  </si>
  <si>
    <t>Мочевые тест-полоски для визуального определения (50шт в упаковке)</t>
  </si>
  <si>
    <t>Тест-полоски для определения глюкозы в крови (50шт в упаковке) для глюкометра Accu-Chek Active</t>
  </si>
  <si>
    <t>Реагенты для системы анализа крови SN 22200 EPOC</t>
  </si>
  <si>
    <t>Тест-карты для системы анализа крови SN 22200 EPOC (№50)</t>
  </si>
  <si>
    <t>Капилляры гепаринизированные для капиллярной крови на портативный анализатор газов крови, электролитов, метаболитов SN 22200 EPOC, объемом 97 мкл, с поршнем для введения крови в прибор (50 капилляров в упаковке)</t>
  </si>
  <si>
    <t>Капилляры гепаринизированные для капиллярной крови на систему анализа крови SN 22200 EPOC (№50)</t>
  </si>
  <si>
    <r>
      <t xml:space="preserve">Специальные тест-карты </t>
    </r>
    <r>
      <rPr>
        <sz val="9"/>
        <rFont val="Times New Roman"/>
        <family val="1"/>
        <charset val="204"/>
      </rPr>
      <t>для автоматического портативного анализатора газов, электролитов и метаболитов крови SN 22200 EPOC. Определяемые параметры: измеряемые pH, рСО2, рО2, Na, K, Ca, Hct, Glu, Lac, Crea, расчетные cHCO3-, BE (ecf), cSO2, A, A-a, a/A, A (T), A-a (T), a/A (T), ClcTCO2, AGap, AGapK, cHgb, BE (b), eGFR, eGFR-a (50 тест-карт в упаковке)</t>
    </r>
  </si>
  <si>
    <r>
      <t>Набор контрольных растворов</t>
    </r>
    <r>
      <rPr>
        <sz val="9"/>
        <color rgb="FFFF0000"/>
        <rFont val="Times New Roman"/>
        <family val="1"/>
        <charset val="204"/>
      </rPr>
      <t xml:space="preserve"> </t>
    </r>
    <r>
      <rPr>
        <sz val="9"/>
        <rFont val="Times New Roman"/>
        <family val="1"/>
        <charset val="204"/>
      </rPr>
      <t>предназначен для ежедневного проведения внутрилабораторного контроля точности измерений на приборах использующих в работе базовые реагенты. Набор должен состоять из трех флаконов, емкостью не менее 3,5мл каждый. Контрольные растворы предоставляют проверенные контрольные данные не менее чем по двенадцати  клинического анализа крови плюс дополнительные аналитические параметры, относящиеся к трехвершинной кривой распределения эритроцитов и тромбоцитов.  Наличие аттестованных референтных параметров соответствующих низким, нормальным и высоким показателям указанным во вкладыше, который прилагается к набору. Дополнительно вкладыш должен иметь специальный штриховой код совместимый со считывателем для закрытой гематологической системы для автоматического ввода референтных параметров в память прибора.Для автоматического гематологического анализатора закрытого типа Mindray ВС-5000.</t>
    </r>
  </si>
  <si>
    <t>к протоколу 12 от 09.02.2022г.</t>
  </si>
  <si>
    <t>Руководитель ОГЗ и ЮС</t>
  </si>
  <si>
    <t>Иманғали Д.Қ.</t>
  </si>
  <si>
    <t xml:space="preserve">Специалист по государственным закупкам </t>
  </si>
  <si>
    <t>Корженко О.О.</t>
  </si>
  <si>
    <t>Юрисконсульт</t>
  </si>
  <si>
    <t>ТОО "АЛЬЯНС" Цена</t>
  </si>
  <si>
    <t>ТОО "АЛЬЯНС" Сумма</t>
  </si>
  <si>
    <t>ТОО "ЭлитМед" Цена</t>
  </si>
  <si>
    <t>ТОО "ЭлитМед" Сумма</t>
  </si>
  <si>
    <t>ТОО "ШығысМедТрейд" Цена</t>
  </si>
  <si>
    <t>ТОО "ШығысМедТрейд" Сумма</t>
  </si>
  <si>
    <t>ТОО "МедТехСервис" Цена</t>
  </si>
  <si>
    <t>ТОО "МедТехСервис" Сумма</t>
  </si>
  <si>
    <t>Пан А.Б.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</si>
</sst>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_-* #,##0.00,_₽_-;\-* #,##0.00,_₽_-;_-* \-??\ _₽_-;_-@_-"/>
  </numFmts>
  <fonts count="15"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9"/>
      <name val="Times New Roman"/>
      <family val="1"/>
      <charset val="204"/>
    </font>
    <font>
      <b/>
      <sz val="9"/>
      <name val="Times New Roman"/>
      <family val="1"/>
      <charset val="204"/>
    </font>
    <font>
      <sz val="9"/>
      <color theme="1"/>
      <name val="Times New Roman"/>
      <family val="1"/>
      <charset val="204"/>
    </font>
    <font>
      <sz val="9"/>
      <color rgb="FF000000"/>
      <name val="Times New Roman"/>
      <family val="1"/>
      <charset val="204"/>
    </font>
    <font>
      <b/>
      <sz val="9"/>
      <color theme="1"/>
      <name val="Times New Roman"/>
      <family val="1"/>
      <charset val="204"/>
    </font>
    <font>
      <sz val="9"/>
      <color rgb="FFFF0000"/>
      <name val="Times New Roman"/>
      <family val="1"/>
      <charset val="204"/>
    </font>
    <font>
      <sz val="12"/>
      <name val="Times New Roman"/>
      <family val="1"/>
      <charset val="204"/>
    </font>
    <font>
      <b/>
      <sz val="12"/>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4">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6" fontId="6" fillId="0" borderId="0" applyBorder="0" applyProtection="0"/>
  </cellStyleXfs>
  <cellXfs count="91">
    <xf numFmtId="0" fontId="0" fillId="0" borderId="0" xfId="0"/>
    <xf numFmtId="0" fontId="7" fillId="0" borderId="0" xfId="1" applyFont="1"/>
    <xf numFmtId="0" fontId="8" fillId="0" borderId="2" xfId="1" applyFont="1" applyBorder="1" applyAlignment="1">
      <alignment horizontal="center" vertical="center" wrapText="1"/>
    </xf>
    <xf numFmtId="3" fontId="7" fillId="0" borderId="2" xfId="22" applyNumberFormat="1" applyFont="1" applyFill="1" applyBorder="1" applyAlignment="1">
      <alignment horizontal="right" vertical="top"/>
    </xf>
    <xf numFmtId="0" fontId="7" fillId="0" borderId="0" xfId="1" applyFont="1" applyFill="1"/>
    <xf numFmtId="0" fontId="8" fillId="0" borderId="2" xfId="1" applyFont="1" applyBorder="1" applyAlignment="1">
      <alignment horizontal="center" vertical="center"/>
    </xf>
    <xf numFmtId="0" fontId="9" fillId="0" borderId="2" xfId="0" applyFont="1" applyBorder="1" applyAlignment="1">
      <alignment horizontal="center" vertical="center" wrapText="1"/>
    </xf>
    <xf numFmtId="4" fontId="7" fillId="0" borderId="2" xfId="17" applyNumberFormat="1" applyFont="1" applyBorder="1" applyAlignment="1" applyProtection="1">
      <alignment horizontal="right" vertical="center" wrapText="1"/>
    </xf>
    <xf numFmtId="0" fontId="7" fillId="0" borderId="2" xfId="23" applyNumberFormat="1" applyFont="1" applyBorder="1" applyAlignment="1" applyProtection="1">
      <alignment horizontal="center" vertical="center" wrapText="1"/>
    </xf>
    <xf numFmtId="0" fontId="8" fillId="0" borderId="2" xfId="1" applyFont="1" applyBorder="1"/>
    <xf numFmtId="0" fontId="8" fillId="0" borderId="2" xfId="5" applyFont="1" applyFill="1" applyBorder="1" applyAlignment="1">
      <alignment horizontal="left" vertical="top" wrapText="1"/>
    </xf>
    <xf numFmtId="0" fontId="8" fillId="0" borderId="2" xfId="5" applyFont="1" applyFill="1" applyBorder="1" applyAlignment="1">
      <alignment horizontal="center" vertical="top" wrapText="1"/>
    </xf>
    <xf numFmtId="3" fontId="8" fillId="0" borderId="2" xfId="5" applyNumberFormat="1" applyFont="1" applyFill="1" applyBorder="1" applyAlignment="1">
      <alignment horizontal="right" vertical="top" wrapText="1"/>
    </xf>
    <xf numFmtId="4" fontId="8" fillId="0" borderId="2" xfId="5" applyNumberFormat="1" applyFont="1" applyFill="1" applyBorder="1" applyAlignment="1">
      <alignment horizontal="right" vertical="top"/>
    </xf>
    <xf numFmtId="0" fontId="8" fillId="0" borderId="0" xfId="1" applyFont="1"/>
    <xf numFmtId="0" fontId="7" fillId="0" borderId="0" xfId="1" applyFont="1" applyBorder="1"/>
    <xf numFmtId="0" fontId="7" fillId="0" borderId="0" xfId="5" applyFont="1" applyFill="1" applyBorder="1" applyAlignment="1">
      <alignment horizontal="left" vertical="top" wrapText="1"/>
    </xf>
    <xf numFmtId="0" fontId="7" fillId="0" borderId="0" xfId="5" applyFont="1" applyFill="1" applyBorder="1" applyAlignment="1">
      <alignment horizontal="center" vertical="top" wrapText="1"/>
    </xf>
    <xf numFmtId="0" fontId="7" fillId="0" borderId="0" xfId="5" applyFont="1" applyFill="1" applyBorder="1" applyAlignment="1">
      <alignment horizontal="right" vertical="top" wrapText="1"/>
    </xf>
    <xf numFmtId="4" fontId="7" fillId="0" borderId="0" xfId="5" applyNumberFormat="1" applyFont="1" applyFill="1" applyBorder="1" applyAlignment="1">
      <alignment horizontal="right" vertical="top"/>
    </xf>
    <xf numFmtId="0" fontId="7" fillId="0" borderId="0" xfId="0" applyFont="1" applyFill="1"/>
    <xf numFmtId="43" fontId="8" fillId="0" borderId="2" xfId="22" applyFont="1" applyBorder="1" applyAlignment="1">
      <alignment horizontal="center" vertical="center" wrapText="1"/>
    </xf>
    <xf numFmtId="43" fontId="7" fillId="0" borderId="2" xfId="22" applyFont="1" applyFill="1" applyBorder="1" applyAlignment="1">
      <alignment horizontal="right" vertical="top"/>
    </xf>
    <xf numFmtId="43" fontId="8" fillId="0" borderId="2" xfId="22" applyFont="1" applyFill="1" applyBorder="1" applyAlignment="1">
      <alignment horizontal="right" vertical="top" wrapText="1"/>
    </xf>
    <xf numFmtId="43" fontId="7" fillId="0" borderId="0" xfId="22" applyFont="1" applyFill="1" applyBorder="1" applyAlignment="1">
      <alignment horizontal="right" vertical="top" wrapText="1"/>
    </xf>
    <xf numFmtId="0" fontId="7" fillId="0" borderId="2" xfId="1" applyFont="1" applyBorder="1" applyAlignment="1">
      <alignment horizontal="left" vertical="top" wrapText="1"/>
    </xf>
    <xf numFmtId="0" fontId="7" fillId="0" borderId="3" xfId="1" applyFont="1" applyBorder="1" applyAlignment="1">
      <alignment horizontal="left" vertical="center"/>
    </xf>
    <xf numFmtId="0" fontId="9" fillId="0" borderId="5" xfId="0" applyFont="1" applyBorder="1" applyAlignment="1">
      <alignment horizontal="center" vertical="center" wrapText="1"/>
    </xf>
    <xf numFmtId="43" fontId="7" fillId="0" borderId="0" xfId="22" applyFont="1" applyAlignment="1">
      <alignment horizontal="right"/>
    </xf>
    <xf numFmtId="43" fontId="7" fillId="0" borderId="2" xfId="22" applyFont="1" applyBorder="1" applyAlignment="1" applyProtection="1">
      <alignment horizontal="right" vertical="center" wrapText="1"/>
    </xf>
    <xf numFmtId="0" fontId="8" fillId="0" borderId="6" xfId="5" applyFont="1" applyFill="1" applyBorder="1" applyAlignment="1">
      <alignment horizontal="left" vertical="top" wrapText="1"/>
    </xf>
    <xf numFmtId="4" fontId="8" fillId="0" borderId="2" xfId="22" applyNumberFormat="1" applyFont="1" applyFill="1" applyBorder="1" applyAlignment="1">
      <alignment horizontal="right" vertical="center"/>
    </xf>
    <xf numFmtId="4" fontId="8" fillId="0" borderId="2" xfId="17" applyNumberFormat="1" applyFont="1" applyBorder="1" applyAlignment="1" applyProtection="1">
      <alignment horizontal="right" vertical="center" wrapText="1"/>
    </xf>
    <xf numFmtId="0" fontId="7" fillId="0" borderId="2" xfId="0" applyFont="1" applyBorder="1" applyAlignment="1">
      <alignment horizontal="left" vertical="top" wrapText="1"/>
    </xf>
    <xf numFmtId="43" fontId="7" fillId="0" borderId="2" xfId="22" applyFont="1" applyFill="1" applyBorder="1" applyAlignment="1">
      <alignment horizontal="right" vertical="center" wrapText="1"/>
    </xf>
    <xf numFmtId="0" fontId="8" fillId="0" borderId="2" xfId="1" applyFont="1" applyFill="1" applyBorder="1" applyAlignment="1">
      <alignment horizontal="center" vertical="center"/>
    </xf>
    <xf numFmtId="4" fontId="7" fillId="0" borderId="2" xfId="17" applyNumberFormat="1" applyFont="1" applyFill="1" applyBorder="1" applyAlignment="1" applyProtection="1">
      <alignment horizontal="righ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0" borderId="2" xfId="1" applyFont="1" applyFill="1" applyBorder="1" applyAlignment="1">
      <alignment horizontal="left" vertical="center" wrapText="1"/>
    </xf>
    <xf numFmtId="0" fontId="7" fillId="0" borderId="2" xfId="1" applyFont="1" applyFill="1" applyBorder="1" applyAlignment="1">
      <alignment horizontal="left" vertical="top" wrapText="1"/>
    </xf>
    <xf numFmtId="0" fontId="9" fillId="0" borderId="2" xfId="0" applyFont="1" applyFill="1" applyBorder="1" applyAlignment="1">
      <alignment horizontal="center" vertical="center" wrapText="1"/>
    </xf>
    <xf numFmtId="43" fontId="10" fillId="0" borderId="2" xfId="22" applyFont="1" applyFill="1" applyBorder="1" applyAlignment="1">
      <alignment horizontal="center" vertical="center" wrapText="1"/>
    </xf>
    <xf numFmtId="0" fontId="7" fillId="0" borderId="5"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7" fillId="0" borderId="2" xfId="1" applyFont="1" applyFill="1" applyBorder="1" applyAlignment="1">
      <alignment horizontal="center" vertical="center"/>
    </xf>
    <xf numFmtId="3" fontId="7" fillId="0" borderId="2" xfId="22" applyNumberFormat="1" applyFont="1" applyFill="1" applyBorder="1" applyAlignment="1">
      <alignment horizontal="center" vertical="center"/>
    </xf>
    <xf numFmtId="4" fontId="7" fillId="0" borderId="2" xfId="22" applyNumberFormat="1" applyFont="1" applyFill="1" applyBorder="1" applyAlignment="1">
      <alignment horizontal="right" vertical="center" wrapText="1"/>
    </xf>
    <xf numFmtId="0" fontId="9" fillId="0" borderId="2" xfId="0" applyFont="1" applyFill="1" applyBorder="1" applyAlignment="1">
      <alignment vertical="center" wrapText="1"/>
    </xf>
    <xf numFmtId="0" fontId="10" fillId="0" borderId="2" xfId="0" applyFont="1" applyFill="1" applyBorder="1" applyAlignment="1">
      <alignment horizontal="left" vertical="top" wrapText="1"/>
    </xf>
    <xf numFmtId="0" fontId="12" fillId="0" borderId="0" xfId="1" applyFont="1"/>
    <xf numFmtId="0" fontId="7" fillId="0" borderId="2" xfId="0" applyFont="1" applyBorder="1" applyAlignment="1">
      <alignment horizontal="center" vertical="center" wrapText="1"/>
    </xf>
    <xf numFmtId="43" fontId="7" fillId="0" borderId="2" xfId="22" applyFont="1" applyBorder="1" applyAlignment="1">
      <alignment horizontal="right" vertical="center" wrapText="1"/>
    </xf>
    <xf numFmtId="0" fontId="8" fillId="0" borderId="2" xfId="1" applyFont="1" applyBorder="1" applyAlignment="1">
      <alignment vertical="center"/>
    </xf>
    <xf numFmtId="4" fontId="8" fillId="0" borderId="2" xfId="1" applyNumberFormat="1" applyFont="1" applyBorder="1" applyAlignment="1">
      <alignment vertical="center"/>
    </xf>
    <xf numFmtId="0" fontId="7" fillId="0" borderId="2" xfId="0" applyFont="1" applyBorder="1" applyAlignment="1">
      <alignment vertical="center" wrapText="1"/>
    </xf>
    <xf numFmtId="0" fontId="7" fillId="0" borderId="2" xfId="1" applyFont="1" applyBorder="1" applyAlignment="1">
      <alignment horizontal="left" vertical="center"/>
    </xf>
    <xf numFmtId="0" fontId="7" fillId="0" borderId="1" xfId="0" applyFont="1" applyBorder="1" applyAlignment="1">
      <alignment horizontal="left" vertical="top" wrapText="1"/>
    </xf>
    <xf numFmtId="0" fontId="7" fillId="2" borderId="2" xfId="0" applyFont="1" applyFill="1" applyBorder="1" applyAlignment="1">
      <alignment vertical="center"/>
    </xf>
    <xf numFmtId="43" fontId="8" fillId="0" borderId="2" xfId="22" applyFont="1" applyBorder="1" applyAlignment="1">
      <alignment horizontal="right" vertical="center" wrapText="1"/>
    </xf>
    <xf numFmtId="0" fontId="7" fillId="0" borderId="2" xfId="1" applyFont="1" applyBorder="1" applyAlignment="1">
      <alignment horizontal="center" vertical="center" wrapText="1"/>
    </xf>
    <xf numFmtId="0" fontId="7" fillId="0" borderId="2" xfId="1" applyFont="1" applyBorder="1" applyAlignment="1">
      <alignment horizontal="left" vertical="center" wrapText="1"/>
    </xf>
    <xf numFmtId="4" fontId="7" fillId="0" borderId="2" xfId="1" applyNumberFormat="1" applyFont="1" applyBorder="1" applyAlignment="1">
      <alignment horizontal="right" vertical="center" wrapText="1"/>
    </xf>
    <xf numFmtId="0" fontId="8" fillId="0" borderId="2" xfId="1" applyFont="1" applyBorder="1" applyAlignment="1">
      <alignment horizontal="center" vertical="center" wrapText="1"/>
    </xf>
    <xf numFmtId="0" fontId="8" fillId="0" borderId="2" xfId="1" applyFont="1" applyBorder="1" applyAlignment="1">
      <alignment horizontal="center" vertical="center" wrapText="1"/>
    </xf>
    <xf numFmtId="0" fontId="7" fillId="0" borderId="2" xfId="1" applyFont="1" applyBorder="1"/>
    <xf numFmtId="0" fontId="7" fillId="0" borderId="0" xfId="0" applyFont="1" applyFill="1" applyBorder="1" applyAlignment="1">
      <alignment horizontal="left" vertical="top" wrapText="1"/>
    </xf>
    <xf numFmtId="0" fontId="13" fillId="0" borderId="0" xfId="0" applyFont="1" applyFill="1" applyAlignment="1"/>
    <xf numFmtId="0" fontId="14" fillId="0" borderId="0" xfId="0" applyFont="1" applyFill="1" applyAlignment="1"/>
    <xf numFmtId="0" fontId="13" fillId="0" borderId="0" xfId="0" applyFont="1" applyFill="1"/>
    <xf numFmtId="0" fontId="14" fillId="0" borderId="0" xfId="0" applyFont="1" applyFill="1" applyAlignment="1">
      <alignment horizontal="left"/>
    </xf>
    <xf numFmtId="0" fontId="13" fillId="0" borderId="0" xfId="1" applyFont="1"/>
    <xf numFmtId="0" fontId="13" fillId="0" borderId="0" xfId="0" applyFont="1" applyFill="1" applyAlignment="1">
      <alignment horizontal="justify"/>
    </xf>
    <xf numFmtId="0" fontId="13" fillId="0" borderId="0" xfId="0" applyFont="1" applyFill="1" applyAlignment="1">
      <alignment horizontal="left"/>
    </xf>
    <xf numFmtId="43" fontId="12" fillId="0" borderId="2" xfId="22" applyFont="1" applyBorder="1" applyAlignment="1">
      <alignment horizontal="right" vertical="center" wrapText="1"/>
    </xf>
    <xf numFmtId="43" fontId="7" fillId="3" borderId="2" xfId="22" applyFont="1" applyFill="1" applyBorder="1" applyAlignment="1">
      <alignment horizontal="right" vertical="center" wrapText="1"/>
    </xf>
    <xf numFmtId="0" fontId="7" fillId="0" borderId="0" xfId="0" applyFont="1" applyFill="1" applyBorder="1" applyAlignment="1">
      <alignment horizontal="left" vertical="top" wrapText="1"/>
    </xf>
    <xf numFmtId="0" fontId="7" fillId="0" borderId="0" xfId="0" applyFont="1" applyFill="1" applyBorder="1" applyAlignment="1"/>
    <xf numFmtId="0" fontId="8" fillId="0" borderId="1" xfId="1" applyFont="1" applyBorder="1" applyAlignment="1">
      <alignment horizontal="center"/>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2" xfId="1" applyFont="1" applyBorder="1" applyAlignment="1">
      <alignment horizontal="center" vertical="center" wrapText="1"/>
    </xf>
  </cellXfs>
  <cellStyles count="24">
    <cellStyle name="TableStyleLight1" xfId="23"/>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6" xfId="16"/>
    <cellStyle name="Финансовый" xfId="22"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
  <sheetViews>
    <sheetView tabSelected="1" view="pageBreakPreview" zoomScale="90" zoomScaleSheetLayoutView="90" workbookViewId="0">
      <selection activeCell="A58" sqref="A58:G62"/>
    </sheetView>
  </sheetViews>
  <sheetFormatPr defaultColWidth="8.85546875" defaultRowHeight="12" x14ac:dyDescent="0.2"/>
  <cols>
    <col min="1" max="1" width="6.42578125" style="1" customWidth="1"/>
    <col min="2" max="2" width="38.7109375" style="1" customWidth="1"/>
    <col min="3" max="3" width="58.85546875" style="1" customWidth="1"/>
    <col min="4" max="4" width="13.28515625" style="1" customWidth="1"/>
    <col min="5" max="5" width="15.42578125" style="1" customWidth="1"/>
    <col min="6" max="6" width="13.28515625" style="28" customWidth="1"/>
    <col min="7" max="11" width="16.5703125" style="1" customWidth="1"/>
    <col min="12" max="13" width="17.85546875" style="1" customWidth="1"/>
    <col min="14" max="14" width="16.5703125" style="1" customWidth="1"/>
    <col min="15" max="15" width="15.140625" style="1" customWidth="1"/>
    <col min="16" max="16384" width="8.85546875" style="1"/>
  </cols>
  <sheetData>
    <row r="1" spans="1:15" x14ac:dyDescent="0.2">
      <c r="E1" s="1" t="s">
        <v>0</v>
      </c>
    </row>
    <row r="2" spans="1:15" x14ac:dyDescent="0.2">
      <c r="E2" s="1" t="s">
        <v>102</v>
      </c>
    </row>
    <row r="4" spans="1:15" ht="15.75" customHeight="1" x14ac:dyDescent="0.2">
      <c r="A4" s="81" t="s">
        <v>1</v>
      </c>
      <c r="B4" s="81"/>
      <c r="C4" s="81"/>
      <c r="D4" s="81"/>
      <c r="E4" s="81"/>
      <c r="F4" s="81"/>
      <c r="G4" s="81"/>
    </row>
    <row r="5" spans="1:15" ht="40.5" customHeight="1" x14ac:dyDescent="0.2">
      <c r="A5" s="2" t="s">
        <v>2</v>
      </c>
      <c r="B5" s="2" t="s">
        <v>3</v>
      </c>
      <c r="C5" s="2" t="s">
        <v>9</v>
      </c>
      <c r="D5" s="2" t="s">
        <v>4</v>
      </c>
      <c r="E5" s="2" t="s">
        <v>5</v>
      </c>
      <c r="F5" s="21" t="s">
        <v>6</v>
      </c>
      <c r="G5" s="2" t="s">
        <v>7</v>
      </c>
      <c r="H5" s="67" t="s">
        <v>108</v>
      </c>
      <c r="I5" s="67" t="s">
        <v>109</v>
      </c>
      <c r="J5" s="67" t="s">
        <v>110</v>
      </c>
      <c r="K5" s="67" t="s">
        <v>111</v>
      </c>
      <c r="L5" s="66" t="s">
        <v>112</v>
      </c>
      <c r="M5" s="67" t="s">
        <v>113</v>
      </c>
      <c r="N5" s="66" t="s">
        <v>114</v>
      </c>
      <c r="O5" s="67" t="s">
        <v>115</v>
      </c>
    </row>
    <row r="6" spans="1:15" ht="12.75" customHeight="1" x14ac:dyDescent="0.2">
      <c r="A6" s="87" t="s">
        <v>28</v>
      </c>
      <c r="B6" s="88"/>
      <c r="C6" s="88"/>
      <c r="D6" s="88"/>
      <c r="E6" s="88"/>
      <c r="F6" s="88"/>
      <c r="G6" s="89"/>
      <c r="H6" s="68"/>
      <c r="I6" s="68"/>
      <c r="J6" s="68"/>
      <c r="K6" s="68"/>
      <c r="L6" s="68"/>
      <c r="M6" s="68"/>
      <c r="N6" s="68"/>
      <c r="O6" s="68"/>
    </row>
    <row r="7" spans="1:15" ht="12.75" customHeight="1" x14ac:dyDescent="0.2">
      <c r="A7" s="90" t="s">
        <v>96</v>
      </c>
      <c r="B7" s="90"/>
      <c r="C7" s="90"/>
      <c r="D7" s="90"/>
      <c r="E7" s="2"/>
      <c r="F7" s="2"/>
      <c r="G7" s="62">
        <f>SUM(G8:G9)</f>
        <v>849580</v>
      </c>
      <c r="H7" s="68"/>
      <c r="I7" s="68"/>
      <c r="J7" s="68"/>
      <c r="K7" s="68"/>
      <c r="L7" s="68"/>
      <c r="M7" s="68"/>
      <c r="N7" s="68"/>
      <c r="O7" s="68"/>
    </row>
    <row r="8" spans="1:15" ht="60.75" customHeight="1" x14ac:dyDescent="0.2">
      <c r="A8" s="2">
        <v>1</v>
      </c>
      <c r="B8" s="64" t="s">
        <v>97</v>
      </c>
      <c r="C8" s="25" t="s">
        <v>100</v>
      </c>
      <c r="D8" s="63" t="s">
        <v>23</v>
      </c>
      <c r="E8" s="63">
        <v>2</v>
      </c>
      <c r="F8" s="65">
        <f>320000*1.07</f>
        <v>342400</v>
      </c>
      <c r="G8" s="55">
        <f>E8*F8</f>
        <v>684800</v>
      </c>
      <c r="H8" s="55"/>
      <c r="I8" s="55"/>
      <c r="J8" s="78">
        <v>342400</v>
      </c>
      <c r="K8" s="78">
        <f>J8*E8</f>
        <v>684800</v>
      </c>
      <c r="L8" s="55"/>
      <c r="M8" s="55"/>
      <c r="N8" s="55"/>
      <c r="O8" s="55"/>
    </row>
    <row r="9" spans="1:15" ht="36.75" customHeight="1" x14ac:dyDescent="0.2">
      <c r="A9" s="2">
        <v>2</v>
      </c>
      <c r="B9" s="64" t="s">
        <v>99</v>
      </c>
      <c r="C9" s="25" t="s">
        <v>98</v>
      </c>
      <c r="D9" s="63" t="s">
        <v>23</v>
      </c>
      <c r="E9" s="63">
        <v>2</v>
      </c>
      <c r="F9" s="65">
        <f>77000*1.07</f>
        <v>82390</v>
      </c>
      <c r="G9" s="55">
        <f>E9*F9</f>
        <v>164780</v>
      </c>
      <c r="H9" s="55"/>
      <c r="I9" s="55"/>
      <c r="J9" s="78">
        <v>82390</v>
      </c>
      <c r="K9" s="78">
        <f>J9*E9</f>
        <v>164780</v>
      </c>
      <c r="L9" s="55"/>
      <c r="M9" s="55"/>
      <c r="N9" s="55"/>
      <c r="O9" s="55"/>
    </row>
    <row r="10" spans="1:15" s="4" customFormat="1" ht="15.95" customHeight="1" x14ac:dyDescent="0.2">
      <c r="A10" s="84" t="s">
        <v>24</v>
      </c>
      <c r="B10" s="85"/>
      <c r="C10" s="85"/>
      <c r="D10" s="86"/>
      <c r="E10" s="3"/>
      <c r="F10" s="22"/>
      <c r="G10" s="31">
        <f>SUM(G11:G14)</f>
        <v>1511813.7000000002</v>
      </c>
      <c r="H10" s="34"/>
      <c r="I10" s="34"/>
      <c r="J10" s="34"/>
      <c r="K10" s="34"/>
      <c r="L10" s="34"/>
      <c r="M10" s="34"/>
      <c r="N10" s="34"/>
      <c r="O10" s="34"/>
    </row>
    <row r="11" spans="1:15" s="4" customFormat="1" ht="83.25" customHeight="1" x14ac:dyDescent="0.2">
      <c r="A11" s="35">
        <v>3</v>
      </c>
      <c r="B11" s="40" t="s">
        <v>30</v>
      </c>
      <c r="C11" s="41" t="s">
        <v>21</v>
      </c>
      <c r="D11" s="42" t="s">
        <v>19</v>
      </c>
      <c r="E11" s="42">
        <v>12</v>
      </c>
      <c r="F11" s="34">
        <f>47715*1.07</f>
        <v>51055.05</v>
      </c>
      <c r="G11" s="43">
        <f>E11*F11</f>
        <v>612660.60000000009</v>
      </c>
      <c r="H11" s="34"/>
      <c r="I11" s="34"/>
      <c r="J11" s="34"/>
      <c r="K11" s="34"/>
      <c r="L11" s="34"/>
      <c r="M11" s="34"/>
      <c r="N11" s="34"/>
      <c r="O11" s="34"/>
    </row>
    <row r="12" spans="1:15" s="4" customFormat="1" ht="59.25" customHeight="1" x14ac:dyDescent="0.2">
      <c r="A12" s="35">
        <v>4</v>
      </c>
      <c r="B12" s="40" t="s">
        <v>31</v>
      </c>
      <c r="C12" s="41" t="s">
        <v>22</v>
      </c>
      <c r="D12" s="44" t="s">
        <v>23</v>
      </c>
      <c r="E12" s="42">
        <v>4</v>
      </c>
      <c r="F12" s="34">
        <f>144570*1.07</f>
        <v>154689.90000000002</v>
      </c>
      <c r="G12" s="43">
        <f t="shared" ref="G12:G14" si="0">E12*F12</f>
        <v>618759.60000000009</v>
      </c>
      <c r="H12" s="34"/>
      <c r="I12" s="34"/>
      <c r="J12" s="34"/>
      <c r="K12" s="34"/>
      <c r="L12" s="34"/>
      <c r="M12" s="34"/>
      <c r="N12" s="34"/>
      <c r="O12" s="34"/>
    </row>
    <row r="13" spans="1:15" s="4" customFormat="1" ht="28.5" customHeight="1" x14ac:dyDescent="0.2">
      <c r="A13" s="35">
        <v>5</v>
      </c>
      <c r="B13" s="40" t="s">
        <v>66</v>
      </c>
      <c r="C13" s="41" t="s">
        <v>29</v>
      </c>
      <c r="D13" s="42" t="s">
        <v>18</v>
      </c>
      <c r="E13" s="39">
        <f>1+2</f>
        <v>3</v>
      </c>
      <c r="F13" s="34">
        <f>15850*1.07</f>
        <v>16959.5</v>
      </c>
      <c r="G13" s="43">
        <f t="shared" si="0"/>
        <v>50878.5</v>
      </c>
      <c r="H13" s="34"/>
      <c r="I13" s="34"/>
      <c r="J13" s="34"/>
      <c r="K13" s="34"/>
      <c r="L13" s="34"/>
      <c r="M13" s="34"/>
      <c r="N13" s="34"/>
      <c r="O13" s="34"/>
    </row>
    <row r="14" spans="1:15" s="4" customFormat="1" ht="143.25" customHeight="1" x14ac:dyDescent="0.2">
      <c r="A14" s="35">
        <v>6</v>
      </c>
      <c r="B14" s="40" t="s">
        <v>32</v>
      </c>
      <c r="C14" s="41" t="s">
        <v>33</v>
      </c>
      <c r="D14" s="42" t="s">
        <v>10</v>
      </c>
      <c r="E14" s="42">
        <v>5</v>
      </c>
      <c r="F14" s="34">
        <f>42900*1.07</f>
        <v>45903</v>
      </c>
      <c r="G14" s="43">
        <f t="shared" si="0"/>
        <v>229515</v>
      </c>
      <c r="H14" s="34"/>
      <c r="I14" s="34"/>
      <c r="J14" s="34"/>
      <c r="K14" s="34"/>
      <c r="L14" s="34"/>
      <c r="M14" s="34"/>
      <c r="N14" s="34"/>
      <c r="O14" s="34"/>
    </row>
    <row r="15" spans="1:15" s="4" customFormat="1" ht="15.95" customHeight="1" x14ac:dyDescent="0.2">
      <c r="A15" s="45"/>
      <c r="B15" s="46"/>
      <c r="C15" s="46" t="s">
        <v>63</v>
      </c>
      <c r="D15" s="47"/>
      <c r="E15" s="3"/>
      <c r="F15" s="22"/>
      <c r="G15" s="31">
        <f>SUM(G16:G38)</f>
        <v>16722119.429999998</v>
      </c>
      <c r="H15" s="34"/>
      <c r="I15" s="34"/>
      <c r="J15" s="34"/>
      <c r="K15" s="34"/>
      <c r="L15" s="34"/>
      <c r="M15" s="34"/>
      <c r="N15" s="34"/>
      <c r="O15" s="34"/>
    </row>
    <row r="16" spans="1:15" s="4" customFormat="1" ht="141" customHeight="1" x14ac:dyDescent="0.2">
      <c r="A16" s="35">
        <v>7</v>
      </c>
      <c r="B16" s="40" t="s">
        <v>34</v>
      </c>
      <c r="C16" s="41" t="s">
        <v>67</v>
      </c>
      <c r="D16" s="48" t="s">
        <v>10</v>
      </c>
      <c r="E16" s="49">
        <v>10</v>
      </c>
      <c r="F16" s="34">
        <f>26300*1.07</f>
        <v>28141</v>
      </c>
      <c r="G16" s="50">
        <f>E16*F16</f>
        <v>281410</v>
      </c>
      <c r="H16" s="34"/>
      <c r="I16" s="34"/>
      <c r="J16" s="34"/>
      <c r="K16" s="34"/>
      <c r="L16" s="78">
        <v>28141</v>
      </c>
      <c r="M16" s="78">
        <f>L16*E16</f>
        <v>281410</v>
      </c>
      <c r="N16" s="34"/>
      <c r="O16" s="34"/>
    </row>
    <row r="17" spans="1:15" s="4" customFormat="1" ht="141.75" customHeight="1" x14ac:dyDescent="0.2">
      <c r="A17" s="35">
        <v>8</v>
      </c>
      <c r="B17" s="40" t="s">
        <v>35</v>
      </c>
      <c r="C17" s="41" t="s">
        <v>68</v>
      </c>
      <c r="D17" s="48" t="s">
        <v>10</v>
      </c>
      <c r="E17" s="49">
        <v>10</v>
      </c>
      <c r="F17" s="34">
        <f>26300*1.07</f>
        <v>28141</v>
      </c>
      <c r="G17" s="50">
        <f>E17*F17</f>
        <v>281410</v>
      </c>
      <c r="H17" s="34"/>
      <c r="I17" s="34"/>
      <c r="J17" s="34"/>
      <c r="K17" s="34"/>
      <c r="L17" s="78">
        <v>28141</v>
      </c>
      <c r="M17" s="78">
        <f t="shared" ref="M17:M38" si="1">L17*E17</f>
        <v>281410</v>
      </c>
      <c r="N17" s="34"/>
      <c r="O17" s="34"/>
    </row>
    <row r="18" spans="1:15" s="4" customFormat="1" ht="131.25" customHeight="1" x14ac:dyDescent="0.2">
      <c r="A18" s="35">
        <v>9</v>
      </c>
      <c r="B18" s="40" t="s">
        <v>57</v>
      </c>
      <c r="C18" s="41" t="s">
        <v>69</v>
      </c>
      <c r="D18" s="48" t="s">
        <v>10</v>
      </c>
      <c r="E18" s="49">
        <v>5</v>
      </c>
      <c r="F18" s="34">
        <f>15920*1.07</f>
        <v>17034.400000000001</v>
      </c>
      <c r="G18" s="50">
        <f>E18*F18</f>
        <v>85172</v>
      </c>
      <c r="H18" s="34"/>
      <c r="I18" s="34"/>
      <c r="J18" s="34"/>
      <c r="K18" s="34"/>
      <c r="L18" s="78">
        <v>17034</v>
      </c>
      <c r="M18" s="78">
        <f t="shared" si="1"/>
        <v>85170</v>
      </c>
      <c r="N18" s="34"/>
      <c r="O18" s="34"/>
    </row>
    <row r="19" spans="1:15" s="4" customFormat="1" ht="127.5" customHeight="1" x14ac:dyDescent="0.2">
      <c r="A19" s="35">
        <v>10</v>
      </c>
      <c r="B19" s="51" t="s">
        <v>13</v>
      </c>
      <c r="C19" s="52" t="s">
        <v>70</v>
      </c>
      <c r="D19" s="42" t="s">
        <v>10</v>
      </c>
      <c r="E19" s="42">
        <v>32</v>
      </c>
      <c r="F19" s="34">
        <f>40200*1.07</f>
        <v>43014</v>
      </c>
      <c r="G19" s="36">
        <f t="shared" ref="G19:G38" si="2">F19*E19</f>
        <v>1376448</v>
      </c>
      <c r="H19" s="34"/>
      <c r="I19" s="34"/>
      <c r="J19" s="34"/>
      <c r="K19" s="34"/>
      <c r="L19" s="78">
        <v>43014</v>
      </c>
      <c r="M19" s="78">
        <f t="shared" si="1"/>
        <v>1376448</v>
      </c>
      <c r="N19" s="34"/>
      <c r="O19" s="34"/>
    </row>
    <row r="20" spans="1:15" s="4" customFormat="1" ht="127.5" customHeight="1" x14ac:dyDescent="0.2">
      <c r="A20" s="35">
        <v>11</v>
      </c>
      <c r="B20" s="51" t="s">
        <v>36</v>
      </c>
      <c r="C20" s="52" t="s">
        <v>71</v>
      </c>
      <c r="D20" s="42" t="s">
        <v>10</v>
      </c>
      <c r="E20" s="42">
        <v>9</v>
      </c>
      <c r="F20" s="34">
        <f>14950*1.07</f>
        <v>15996.500000000002</v>
      </c>
      <c r="G20" s="36">
        <f t="shared" si="2"/>
        <v>143968.50000000003</v>
      </c>
      <c r="H20" s="34"/>
      <c r="I20" s="34"/>
      <c r="J20" s="34"/>
      <c r="K20" s="34"/>
      <c r="L20" s="78">
        <v>15996</v>
      </c>
      <c r="M20" s="78">
        <f t="shared" si="1"/>
        <v>143964</v>
      </c>
      <c r="N20" s="34"/>
      <c r="O20" s="34"/>
    </row>
    <row r="21" spans="1:15" s="4" customFormat="1" ht="139.5" customHeight="1" x14ac:dyDescent="0.2">
      <c r="A21" s="35">
        <v>12</v>
      </c>
      <c r="B21" s="51" t="s">
        <v>37</v>
      </c>
      <c r="C21" s="52" t="s">
        <v>72</v>
      </c>
      <c r="D21" s="42" t="s">
        <v>10</v>
      </c>
      <c r="E21" s="42">
        <v>10</v>
      </c>
      <c r="F21" s="34">
        <f>39200*1.07</f>
        <v>41944</v>
      </c>
      <c r="G21" s="36">
        <f t="shared" si="2"/>
        <v>419440</v>
      </c>
      <c r="H21" s="34"/>
      <c r="I21" s="34"/>
      <c r="J21" s="34"/>
      <c r="K21" s="34"/>
      <c r="L21" s="78">
        <v>41994</v>
      </c>
      <c r="M21" s="78">
        <f t="shared" si="1"/>
        <v>419940</v>
      </c>
      <c r="N21" s="34"/>
      <c r="O21" s="34"/>
    </row>
    <row r="22" spans="1:15" s="4" customFormat="1" ht="141.75" customHeight="1" x14ac:dyDescent="0.2">
      <c r="A22" s="35">
        <v>13</v>
      </c>
      <c r="B22" s="51" t="s">
        <v>38</v>
      </c>
      <c r="C22" s="52" t="s">
        <v>73</v>
      </c>
      <c r="D22" s="42" t="s">
        <v>10</v>
      </c>
      <c r="E22" s="42">
        <v>3</v>
      </c>
      <c r="F22" s="34">
        <f>39200*1.07</f>
        <v>41944</v>
      </c>
      <c r="G22" s="36">
        <f t="shared" si="2"/>
        <v>125832</v>
      </c>
      <c r="H22" s="34"/>
      <c r="I22" s="34"/>
      <c r="J22" s="34"/>
      <c r="K22" s="34"/>
      <c r="L22" s="78">
        <v>41994</v>
      </c>
      <c r="M22" s="78">
        <f t="shared" si="1"/>
        <v>125982</v>
      </c>
      <c r="N22" s="34"/>
      <c r="O22" s="34"/>
    </row>
    <row r="23" spans="1:15" s="4" customFormat="1" ht="129" customHeight="1" x14ac:dyDescent="0.2">
      <c r="A23" s="35">
        <v>14</v>
      </c>
      <c r="B23" s="51" t="s">
        <v>15</v>
      </c>
      <c r="C23" s="52" t="s">
        <v>74</v>
      </c>
      <c r="D23" s="42" t="s">
        <v>10</v>
      </c>
      <c r="E23" s="42">
        <v>3</v>
      </c>
      <c r="F23" s="34">
        <f>38650*1.07</f>
        <v>41355.5</v>
      </c>
      <c r="G23" s="36">
        <f t="shared" si="2"/>
        <v>124066.5</v>
      </c>
      <c r="H23" s="34"/>
      <c r="I23" s="34"/>
      <c r="J23" s="34"/>
      <c r="K23" s="34"/>
      <c r="L23" s="78">
        <v>41355</v>
      </c>
      <c r="M23" s="78">
        <f t="shared" si="1"/>
        <v>124065</v>
      </c>
      <c r="N23" s="34"/>
      <c r="O23" s="34"/>
    </row>
    <row r="24" spans="1:15" s="4" customFormat="1" ht="142.5" customHeight="1" x14ac:dyDescent="0.2">
      <c r="A24" s="35">
        <v>15</v>
      </c>
      <c r="B24" s="37" t="s">
        <v>39</v>
      </c>
      <c r="C24" s="38" t="s">
        <v>75</v>
      </c>
      <c r="D24" s="39" t="s">
        <v>10</v>
      </c>
      <c r="E24" s="39">
        <v>12</v>
      </c>
      <c r="F24" s="34">
        <f>21800*1.07</f>
        <v>23326</v>
      </c>
      <c r="G24" s="36">
        <f t="shared" si="2"/>
        <v>279912</v>
      </c>
      <c r="H24" s="34"/>
      <c r="I24" s="34"/>
      <c r="J24" s="34"/>
      <c r="K24" s="34"/>
      <c r="L24" s="78">
        <v>23326</v>
      </c>
      <c r="M24" s="78">
        <f t="shared" si="1"/>
        <v>279912</v>
      </c>
      <c r="N24" s="34"/>
      <c r="O24" s="34"/>
    </row>
    <row r="25" spans="1:15" s="4" customFormat="1" ht="129" customHeight="1" x14ac:dyDescent="0.2">
      <c r="A25" s="35">
        <v>16</v>
      </c>
      <c r="B25" s="37" t="s">
        <v>40</v>
      </c>
      <c r="C25" s="38" t="s">
        <v>76</v>
      </c>
      <c r="D25" s="39" t="s">
        <v>10</v>
      </c>
      <c r="E25" s="39">
        <v>7</v>
      </c>
      <c r="F25" s="34">
        <f>20400*1.07</f>
        <v>21828</v>
      </c>
      <c r="G25" s="36">
        <f t="shared" si="2"/>
        <v>152796</v>
      </c>
      <c r="H25" s="34"/>
      <c r="I25" s="34"/>
      <c r="J25" s="34"/>
      <c r="K25" s="34"/>
      <c r="L25" s="78">
        <v>21828</v>
      </c>
      <c r="M25" s="78">
        <f t="shared" si="1"/>
        <v>152796</v>
      </c>
      <c r="N25" s="34"/>
      <c r="O25" s="34"/>
    </row>
    <row r="26" spans="1:15" s="4" customFormat="1" ht="96" customHeight="1" x14ac:dyDescent="0.2">
      <c r="A26" s="35">
        <v>17</v>
      </c>
      <c r="B26" s="37" t="s">
        <v>61</v>
      </c>
      <c r="C26" s="38" t="s">
        <v>77</v>
      </c>
      <c r="D26" s="39" t="s">
        <v>10</v>
      </c>
      <c r="E26" s="39">
        <v>8</v>
      </c>
      <c r="F26" s="34">
        <f>216000*1.07</f>
        <v>231120</v>
      </c>
      <c r="G26" s="36">
        <f t="shared" si="2"/>
        <v>1848960</v>
      </c>
      <c r="H26" s="34"/>
      <c r="I26" s="34"/>
      <c r="J26" s="34"/>
      <c r="K26" s="34"/>
      <c r="L26" s="78">
        <v>231120</v>
      </c>
      <c r="M26" s="78">
        <f t="shared" si="1"/>
        <v>1848960</v>
      </c>
      <c r="N26" s="34"/>
      <c r="O26" s="34"/>
    </row>
    <row r="27" spans="1:15" s="4" customFormat="1" ht="96.75" customHeight="1" x14ac:dyDescent="0.2">
      <c r="A27" s="35">
        <v>18</v>
      </c>
      <c r="B27" s="37" t="s">
        <v>62</v>
      </c>
      <c r="C27" s="38" t="s">
        <v>78</v>
      </c>
      <c r="D27" s="39" t="s">
        <v>10</v>
      </c>
      <c r="E27" s="39">
        <v>8</v>
      </c>
      <c r="F27" s="34">
        <f>216000*1.07</f>
        <v>231120</v>
      </c>
      <c r="G27" s="36">
        <f t="shared" si="2"/>
        <v>1848960</v>
      </c>
      <c r="H27" s="34"/>
      <c r="I27" s="34"/>
      <c r="J27" s="34"/>
      <c r="K27" s="34"/>
      <c r="L27" s="78">
        <v>231120</v>
      </c>
      <c r="M27" s="78">
        <f t="shared" si="1"/>
        <v>1848960</v>
      </c>
      <c r="N27" s="34"/>
      <c r="O27" s="34"/>
    </row>
    <row r="28" spans="1:15" s="4" customFormat="1" ht="139.5" customHeight="1" x14ac:dyDescent="0.2">
      <c r="A28" s="35">
        <v>19</v>
      </c>
      <c r="B28" s="37" t="s">
        <v>41</v>
      </c>
      <c r="C28" s="38" t="s">
        <v>79</v>
      </c>
      <c r="D28" s="39" t="s">
        <v>10</v>
      </c>
      <c r="E28" s="39">
        <v>27</v>
      </c>
      <c r="F28" s="34">
        <f>33800*1.07</f>
        <v>36166</v>
      </c>
      <c r="G28" s="36">
        <f t="shared" si="2"/>
        <v>976482</v>
      </c>
      <c r="H28" s="34"/>
      <c r="I28" s="34"/>
      <c r="J28" s="34"/>
      <c r="K28" s="34"/>
      <c r="L28" s="78">
        <v>36166</v>
      </c>
      <c r="M28" s="78">
        <f t="shared" si="1"/>
        <v>976482</v>
      </c>
      <c r="N28" s="34"/>
      <c r="O28" s="34"/>
    </row>
    <row r="29" spans="1:15" s="4" customFormat="1" ht="129" customHeight="1" x14ac:dyDescent="0.2">
      <c r="A29" s="35">
        <v>20</v>
      </c>
      <c r="B29" s="51" t="s">
        <v>16</v>
      </c>
      <c r="C29" s="52" t="s">
        <v>80</v>
      </c>
      <c r="D29" s="42" t="s">
        <v>10</v>
      </c>
      <c r="E29" s="42">
        <v>3</v>
      </c>
      <c r="F29" s="34">
        <f>30300*1.07</f>
        <v>32421.000000000004</v>
      </c>
      <c r="G29" s="36">
        <f>F29*E29</f>
        <v>97263.000000000015</v>
      </c>
      <c r="H29" s="34"/>
      <c r="I29" s="34"/>
      <c r="J29" s="34"/>
      <c r="K29" s="34"/>
      <c r="L29" s="78">
        <v>32421</v>
      </c>
      <c r="M29" s="78">
        <f t="shared" si="1"/>
        <v>97263</v>
      </c>
      <c r="N29" s="34"/>
      <c r="O29" s="34"/>
    </row>
    <row r="30" spans="1:15" s="4" customFormat="1" ht="131.25" customHeight="1" x14ac:dyDescent="0.2">
      <c r="A30" s="35">
        <v>21</v>
      </c>
      <c r="B30" s="37" t="s">
        <v>42</v>
      </c>
      <c r="C30" s="38" t="s">
        <v>81</v>
      </c>
      <c r="D30" s="39" t="s">
        <v>10</v>
      </c>
      <c r="E30" s="39">
        <v>2</v>
      </c>
      <c r="F30" s="34">
        <f>33650*1.07</f>
        <v>36005.5</v>
      </c>
      <c r="G30" s="36">
        <f>F30*E30</f>
        <v>72011</v>
      </c>
      <c r="H30" s="34"/>
      <c r="I30" s="34"/>
      <c r="J30" s="34"/>
      <c r="K30" s="34"/>
      <c r="L30" s="78">
        <v>36005</v>
      </c>
      <c r="M30" s="78">
        <f t="shared" si="1"/>
        <v>72010</v>
      </c>
      <c r="N30" s="34"/>
      <c r="O30" s="34"/>
    </row>
    <row r="31" spans="1:15" s="4" customFormat="1" ht="141" customHeight="1" x14ac:dyDescent="0.2">
      <c r="A31" s="35">
        <v>22</v>
      </c>
      <c r="B31" s="37" t="s">
        <v>43</v>
      </c>
      <c r="C31" s="38" t="s">
        <v>82</v>
      </c>
      <c r="D31" s="39" t="s">
        <v>10</v>
      </c>
      <c r="E31" s="39">
        <v>17</v>
      </c>
      <c r="F31" s="34">
        <f>19315*1.07</f>
        <v>20667.050000000003</v>
      </c>
      <c r="G31" s="36">
        <f>F31*E31</f>
        <v>351339.85000000003</v>
      </c>
      <c r="H31" s="34"/>
      <c r="I31" s="34"/>
      <c r="J31" s="34"/>
      <c r="K31" s="34"/>
      <c r="L31" s="78">
        <v>20667</v>
      </c>
      <c r="M31" s="78">
        <f t="shared" si="1"/>
        <v>351339</v>
      </c>
      <c r="N31" s="34"/>
      <c r="O31" s="34"/>
    </row>
    <row r="32" spans="1:15" s="4" customFormat="1" ht="131.25" customHeight="1" x14ac:dyDescent="0.2">
      <c r="A32" s="35">
        <v>23</v>
      </c>
      <c r="B32" s="37" t="s">
        <v>44</v>
      </c>
      <c r="C32" s="38" t="s">
        <v>83</v>
      </c>
      <c r="D32" s="39" t="s">
        <v>10</v>
      </c>
      <c r="E32" s="39">
        <v>24</v>
      </c>
      <c r="F32" s="34">
        <f>175200*1.07</f>
        <v>187464</v>
      </c>
      <c r="G32" s="36">
        <f>F32*E32</f>
        <v>4499136</v>
      </c>
      <c r="H32" s="34"/>
      <c r="I32" s="34"/>
      <c r="J32" s="34"/>
      <c r="K32" s="34"/>
      <c r="L32" s="78">
        <v>187464</v>
      </c>
      <c r="M32" s="78">
        <f t="shared" si="1"/>
        <v>4499136</v>
      </c>
      <c r="N32" s="34"/>
      <c r="O32" s="34"/>
    </row>
    <row r="33" spans="1:15" s="4" customFormat="1" ht="131.25" customHeight="1" x14ac:dyDescent="0.2">
      <c r="A33" s="35">
        <v>24</v>
      </c>
      <c r="B33" s="37" t="s">
        <v>45</v>
      </c>
      <c r="C33" s="38" t="s">
        <v>84</v>
      </c>
      <c r="D33" s="39" t="s">
        <v>10</v>
      </c>
      <c r="E33" s="39">
        <v>27</v>
      </c>
      <c r="F33" s="34">
        <f>45152*1.07</f>
        <v>48312.639999999999</v>
      </c>
      <c r="G33" s="36">
        <f t="shared" ref="G33:G34" si="3">F33*E33</f>
        <v>1304441.28</v>
      </c>
      <c r="H33" s="34"/>
      <c r="I33" s="34"/>
      <c r="J33" s="34"/>
      <c r="K33" s="34"/>
      <c r="L33" s="78">
        <v>48312</v>
      </c>
      <c r="M33" s="78">
        <f t="shared" si="1"/>
        <v>1304424</v>
      </c>
      <c r="N33" s="34"/>
      <c r="O33" s="34"/>
    </row>
    <row r="34" spans="1:15" s="4" customFormat="1" ht="131.25" customHeight="1" x14ac:dyDescent="0.2">
      <c r="A34" s="35">
        <v>25</v>
      </c>
      <c r="B34" s="37" t="s">
        <v>46</v>
      </c>
      <c r="C34" s="38" t="s">
        <v>85</v>
      </c>
      <c r="D34" s="39" t="s">
        <v>10</v>
      </c>
      <c r="E34" s="39">
        <v>2</v>
      </c>
      <c r="F34" s="34">
        <f>60500*1.07</f>
        <v>64735.000000000007</v>
      </c>
      <c r="G34" s="36">
        <f t="shared" si="3"/>
        <v>129470.00000000001</v>
      </c>
      <c r="H34" s="34"/>
      <c r="I34" s="34"/>
      <c r="J34" s="34"/>
      <c r="K34" s="34"/>
      <c r="L34" s="78">
        <v>64735</v>
      </c>
      <c r="M34" s="78">
        <f t="shared" si="1"/>
        <v>129470</v>
      </c>
      <c r="N34" s="34"/>
      <c r="O34" s="34"/>
    </row>
    <row r="35" spans="1:15" s="4" customFormat="1" ht="127.5" customHeight="1" x14ac:dyDescent="0.2">
      <c r="A35" s="35">
        <v>26</v>
      </c>
      <c r="B35" s="51" t="s">
        <v>17</v>
      </c>
      <c r="C35" s="52" t="s">
        <v>86</v>
      </c>
      <c r="D35" s="42" t="s">
        <v>10</v>
      </c>
      <c r="E35" s="42">
        <v>3</v>
      </c>
      <c r="F35" s="34">
        <f>18410*1.07</f>
        <v>19698.7</v>
      </c>
      <c r="G35" s="36">
        <f>F35*E35</f>
        <v>59096.100000000006</v>
      </c>
      <c r="H35" s="34"/>
      <c r="I35" s="34"/>
      <c r="J35" s="34"/>
      <c r="K35" s="34"/>
      <c r="L35" s="78">
        <v>19698</v>
      </c>
      <c r="M35" s="78">
        <f t="shared" si="1"/>
        <v>59094</v>
      </c>
      <c r="N35" s="34"/>
      <c r="O35" s="34"/>
    </row>
    <row r="36" spans="1:15" s="4" customFormat="1" ht="130.5" customHeight="1" x14ac:dyDescent="0.2">
      <c r="A36" s="35">
        <v>27</v>
      </c>
      <c r="B36" s="51" t="s">
        <v>14</v>
      </c>
      <c r="C36" s="52" t="s">
        <v>87</v>
      </c>
      <c r="D36" s="42" t="s">
        <v>10</v>
      </c>
      <c r="E36" s="42">
        <v>10</v>
      </c>
      <c r="F36" s="34">
        <f>30300*1.07</f>
        <v>32421.000000000004</v>
      </c>
      <c r="G36" s="36">
        <f>F36*E36</f>
        <v>324210.00000000006</v>
      </c>
      <c r="H36" s="34"/>
      <c r="I36" s="34"/>
      <c r="J36" s="34"/>
      <c r="K36" s="34"/>
      <c r="L36" s="78">
        <v>32421</v>
      </c>
      <c r="M36" s="78">
        <f t="shared" si="1"/>
        <v>324210</v>
      </c>
      <c r="N36" s="34"/>
      <c r="O36" s="34"/>
    </row>
    <row r="37" spans="1:15" s="4" customFormat="1" ht="132.75" customHeight="1" x14ac:dyDescent="0.2">
      <c r="A37" s="35">
        <v>28</v>
      </c>
      <c r="B37" s="51" t="s">
        <v>47</v>
      </c>
      <c r="C37" s="52" t="s">
        <v>88</v>
      </c>
      <c r="D37" s="42" t="s">
        <v>10</v>
      </c>
      <c r="E37" s="42">
        <v>4</v>
      </c>
      <c r="F37" s="34">
        <f>19900*1.07</f>
        <v>21293</v>
      </c>
      <c r="G37" s="36">
        <f>F37*E37</f>
        <v>85172</v>
      </c>
      <c r="H37" s="34"/>
      <c r="I37" s="34"/>
      <c r="J37" s="34"/>
      <c r="K37" s="34"/>
      <c r="L37" s="78">
        <v>21293</v>
      </c>
      <c r="M37" s="78">
        <f t="shared" si="1"/>
        <v>85172</v>
      </c>
      <c r="N37" s="34"/>
      <c r="O37" s="34"/>
    </row>
    <row r="38" spans="1:15" s="4" customFormat="1" ht="94.5" customHeight="1" x14ac:dyDescent="0.2">
      <c r="A38" s="35">
        <v>29</v>
      </c>
      <c r="B38" s="37" t="s">
        <v>60</v>
      </c>
      <c r="C38" s="38" t="s">
        <v>91</v>
      </c>
      <c r="D38" s="42" t="s">
        <v>18</v>
      </c>
      <c r="E38" s="42">
        <v>43</v>
      </c>
      <c r="F38" s="34">
        <f>40320*1.07</f>
        <v>43142.400000000001</v>
      </c>
      <c r="G38" s="36">
        <f t="shared" si="2"/>
        <v>1855123.2</v>
      </c>
      <c r="H38" s="34"/>
      <c r="I38" s="34"/>
      <c r="J38" s="34"/>
      <c r="K38" s="34"/>
      <c r="L38" s="78">
        <v>43142</v>
      </c>
      <c r="M38" s="78">
        <f t="shared" si="1"/>
        <v>1855106</v>
      </c>
      <c r="N38" s="34"/>
      <c r="O38" s="34"/>
    </row>
    <row r="39" spans="1:15" s="4" customFormat="1" ht="15.95" customHeight="1" x14ac:dyDescent="0.2">
      <c r="A39" s="5"/>
      <c r="B39" s="82" t="s">
        <v>64</v>
      </c>
      <c r="C39" s="83"/>
      <c r="D39" s="8"/>
      <c r="E39" s="6"/>
      <c r="F39" s="29"/>
      <c r="G39" s="32">
        <f>SUM(G40:G43)</f>
        <v>4318669.8000000007</v>
      </c>
      <c r="H39" s="34"/>
      <c r="I39" s="34"/>
      <c r="J39" s="34"/>
      <c r="K39" s="34"/>
      <c r="L39" s="34"/>
      <c r="M39" s="34"/>
      <c r="N39" s="34"/>
      <c r="O39" s="34"/>
    </row>
    <row r="40" spans="1:15" s="4" customFormat="1" ht="106.5" customHeight="1" x14ac:dyDescent="0.2">
      <c r="A40" s="5">
        <v>30</v>
      </c>
      <c r="B40" s="58" t="s">
        <v>65</v>
      </c>
      <c r="C40" s="33" t="s">
        <v>92</v>
      </c>
      <c r="D40" s="6" t="s">
        <v>19</v>
      </c>
      <c r="E40" s="6">
        <v>22</v>
      </c>
      <c r="F40" s="55">
        <f>45700*1.07</f>
        <v>48899</v>
      </c>
      <c r="G40" s="7">
        <f>E40*F40</f>
        <v>1075778</v>
      </c>
      <c r="H40" s="34"/>
      <c r="I40" s="34"/>
      <c r="J40" s="34"/>
      <c r="K40" s="34"/>
      <c r="L40" s="34"/>
      <c r="M40" s="34"/>
      <c r="N40" s="78">
        <v>48899</v>
      </c>
      <c r="O40" s="78">
        <f>N40*E40</f>
        <v>1075778</v>
      </c>
    </row>
    <row r="41" spans="1:15" s="4" customFormat="1" ht="93.75" customHeight="1" x14ac:dyDescent="0.2">
      <c r="A41" s="5">
        <v>31</v>
      </c>
      <c r="B41" s="58" t="s">
        <v>59</v>
      </c>
      <c r="C41" s="33" t="s">
        <v>89</v>
      </c>
      <c r="D41" s="54" t="s">
        <v>18</v>
      </c>
      <c r="E41" s="54">
        <v>22</v>
      </c>
      <c r="F41" s="55">
        <f>56380*1.07</f>
        <v>60326.600000000006</v>
      </c>
      <c r="G41" s="7">
        <f t="shared" ref="G41:G42" si="4">E41*F41</f>
        <v>1327185.2000000002</v>
      </c>
      <c r="H41" s="34"/>
      <c r="I41" s="34"/>
      <c r="J41" s="34"/>
      <c r="K41" s="34"/>
      <c r="L41" s="34"/>
      <c r="M41" s="34"/>
      <c r="N41" s="78">
        <v>60326</v>
      </c>
      <c r="O41" s="78">
        <f t="shared" ref="O41:O43" si="5">N41*E41</f>
        <v>1327172</v>
      </c>
    </row>
    <row r="42" spans="1:15" s="4" customFormat="1" ht="81.75" customHeight="1" x14ac:dyDescent="0.2">
      <c r="A42" s="5">
        <v>32</v>
      </c>
      <c r="B42" s="58" t="s">
        <v>58</v>
      </c>
      <c r="C42" s="33" t="s">
        <v>90</v>
      </c>
      <c r="D42" s="54" t="s">
        <v>18</v>
      </c>
      <c r="E42" s="54">
        <v>32</v>
      </c>
      <c r="F42" s="55">
        <f>36340*1.07</f>
        <v>38883.800000000003</v>
      </c>
      <c r="G42" s="7">
        <f t="shared" si="4"/>
        <v>1244281.6000000001</v>
      </c>
      <c r="H42" s="34"/>
      <c r="I42" s="34"/>
      <c r="J42" s="34"/>
      <c r="K42" s="34"/>
      <c r="L42" s="34"/>
      <c r="M42" s="34"/>
      <c r="N42" s="78">
        <v>38883</v>
      </c>
      <c r="O42" s="78">
        <f t="shared" si="5"/>
        <v>1244256</v>
      </c>
    </row>
    <row r="43" spans="1:15" s="53" customFormat="1" ht="165" customHeight="1" x14ac:dyDescent="0.2">
      <c r="A43" s="5">
        <v>33</v>
      </c>
      <c r="B43" s="58" t="s">
        <v>20</v>
      </c>
      <c r="C43" s="33" t="s">
        <v>101</v>
      </c>
      <c r="D43" s="54" t="s">
        <v>10</v>
      </c>
      <c r="E43" s="54">
        <v>5</v>
      </c>
      <c r="F43" s="55">
        <f>125500*1.07</f>
        <v>134285</v>
      </c>
      <c r="G43" s="7">
        <f t="shared" ref="G43" si="6">E43*F43</f>
        <v>671425</v>
      </c>
      <c r="H43" s="77"/>
      <c r="I43" s="77"/>
      <c r="J43" s="77"/>
      <c r="K43" s="77"/>
      <c r="L43" s="77"/>
      <c r="M43" s="77"/>
      <c r="N43" s="78">
        <v>134285</v>
      </c>
      <c r="O43" s="78">
        <f t="shared" si="5"/>
        <v>671425</v>
      </c>
    </row>
    <row r="44" spans="1:15" ht="18.75" customHeight="1" x14ac:dyDescent="0.2">
      <c r="A44" s="84" t="s">
        <v>48</v>
      </c>
      <c r="B44" s="85"/>
      <c r="C44" s="85"/>
      <c r="D44" s="86"/>
      <c r="E44" s="6"/>
      <c r="F44" s="55"/>
      <c r="G44" s="32">
        <f>SUM(G45:G48)</f>
        <v>149051</v>
      </c>
      <c r="H44" s="55"/>
      <c r="I44" s="55"/>
      <c r="J44" s="55"/>
      <c r="K44" s="55"/>
      <c r="L44" s="55"/>
      <c r="M44" s="55"/>
      <c r="N44" s="55"/>
      <c r="O44" s="55"/>
    </row>
    <row r="45" spans="1:15" ht="108.75" customHeight="1" x14ac:dyDescent="0.2">
      <c r="A45" s="5">
        <v>34</v>
      </c>
      <c r="B45" s="59" t="s">
        <v>25</v>
      </c>
      <c r="C45" s="25" t="s">
        <v>26</v>
      </c>
      <c r="D45" s="6" t="s">
        <v>23</v>
      </c>
      <c r="E45" s="6">
        <v>10</v>
      </c>
      <c r="F45" s="55">
        <f>8250*1.07</f>
        <v>8827.5</v>
      </c>
      <c r="G45" s="7">
        <f>F45*E45</f>
        <v>88275</v>
      </c>
      <c r="H45" s="78">
        <v>8250</v>
      </c>
      <c r="I45" s="78">
        <f>H45*E45</f>
        <v>82500</v>
      </c>
      <c r="J45" s="55"/>
      <c r="K45" s="55"/>
      <c r="L45" s="55"/>
      <c r="M45" s="55"/>
      <c r="N45" s="55"/>
      <c r="O45" s="55"/>
    </row>
    <row r="46" spans="1:15" ht="84" customHeight="1" x14ac:dyDescent="0.2">
      <c r="A46" s="5">
        <v>35</v>
      </c>
      <c r="B46" s="26" t="s">
        <v>49</v>
      </c>
      <c r="C46" s="25" t="s">
        <v>50</v>
      </c>
      <c r="D46" s="6" t="s">
        <v>23</v>
      </c>
      <c r="E46" s="6">
        <v>2</v>
      </c>
      <c r="F46" s="55">
        <f>11750*1.07</f>
        <v>12572.5</v>
      </c>
      <c r="G46" s="7">
        <f>F46*E46</f>
        <v>25145</v>
      </c>
      <c r="H46" s="78">
        <v>11750</v>
      </c>
      <c r="I46" s="78">
        <f t="shared" ref="I46:I48" si="7">H46*E46</f>
        <v>23500</v>
      </c>
      <c r="J46" s="55"/>
      <c r="K46" s="55"/>
      <c r="L46" s="55"/>
      <c r="M46" s="55"/>
      <c r="N46" s="55"/>
      <c r="O46" s="55"/>
    </row>
    <row r="47" spans="1:15" ht="118.5" customHeight="1" x14ac:dyDescent="0.2">
      <c r="A47" s="5">
        <v>36</v>
      </c>
      <c r="B47" s="26" t="s">
        <v>51</v>
      </c>
      <c r="C47" s="25" t="s">
        <v>52</v>
      </c>
      <c r="D47" s="6" t="s">
        <v>23</v>
      </c>
      <c r="E47" s="6">
        <v>2</v>
      </c>
      <c r="F47" s="55">
        <f>10650*1.07</f>
        <v>11395.5</v>
      </c>
      <c r="G47" s="7">
        <f>F47*E47</f>
        <v>22791</v>
      </c>
      <c r="H47" s="78">
        <v>10650</v>
      </c>
      <c r="I47" s="78">
        <f t="shared" si="7"/>
        <v>21300</v>
      </c>
      <c r="J47" s="55"/>
      <c r="K47" s="55"/>
      <c r="L47" s="55"/>
      <c r="M47" s="55"/>
      <c r="N47" s="55"/>
      <c r="O47" s="55"/>
    </row>
    <row r="48" spans="1:15" ht="154.5" customHeight="1" x14ac:dyDescent="0.2">
      <c r="A48" s="5">
        <v>37</v>
      </c>
      <c r="B48" s="26" t="s">
        <v>53</v>
      </c>
      <c r="C48" s="25" t="s">
        <v>56</v>
      </c>
      <c r="D48" s="27" t="s">
        <v>10</v>
      </c>
      <c r="E48" s="6">
        <v>2</v>
      </c>
      <c r="F48" s="55">
        <f>6000*1.07</f>
        <v>6420</v>
      </c>
      <c r="G48" s="7">
        <f>F48*E48</f>
        <v>12840</v>
      </c>
      <c r="H48" s="78">
        <v>6000</v>
      </c>
      <c r="I48" s="78">
        <f t="shared" si="7"/>
        <v>12000</v>
      </c>
      <c r="J48" s="55"/>
      <c r="K48" s="55"/>
      <c r="L48" s="55"/>
      <c r="M48" s="55"/>
      <c r="N48" s="55"/>
      <c r="O48" s="55"/>
    </row>
    <row r="49" spans="1:15" ht="16.5" customHeight="1" x14ac:dyDescent="0.2">
      <c r="A49" s="84" t="s">
        <v>54</v>
      </c>
      <c r="B49" s="85"/>
      <c r="C49" s="85"/>
      <c r="D49" s="85"/>
      <c r="E49" s="56"/>
      <c r="F49" s="56"/>
      <c r="G49" s="57">
        <f>SUM(G50:G52)</f>
        <v>355079.5</v>
      </c>
      <c r="H49" s="55"/>
      <c r="I49" s="55"/>
      <c r="J49" s="55"/>
      <c r="K49" s="55"/>
      <c r="L49" s="55"/>
      <c r="M49" s="55"/>
      <c r="N49" s="55"/>
      <c r="O49" s="55"/>
    </row>
    <row r="50" spans="1:15" ht="25.5" customHeight="1" x14ac:dyDescent="0.2">
      <c r="A50" s="5">
        <v>38</v>
      </c>
      <c r="B50" s="25" t="s">
        <v>93</v>
      </c>
      <c r="C50" s="60" t="s">
        <v>95</v>
      </c>
      <c r="D50" s="6" t="s">
        <v>23</v>
      </c>
      <c r="E50" s="6">
        <v>15</v>
      </c>
      <c r="F50" s="34">
        <f>5590*1.07</f>
        <v>5981.3</v>
      </c>
      <c r="G50" s="7">
        <f t="shared" ref="G50:G52" si="8">F50*E50</f>
        <v>89719.5</v>
      </c>
      <c r="H50" s="55"/>
      <c r="I50" s="55"/>
      <c r="J50" s="55"/>
      <c r="K50" s="55"/>
      <c r="L50" s="55"/>
      <c r="M50" s="55"/>
      <c r="N50" s="55"/>
      <c r="O50" s="55"/>
    </row>
    <row r="51" spans="1:15" ht="15" customHeight="1" x14ac:dyDescent="0.2">
      <c r="A51" s="5">
        <v>39</v>
      </c>
      <c r="B51" s="59" t="s">
        <v>55</v>
      </c>
      <c r="C51" s="33" t="s">
        <v>94</v>
      </c>
      <c r="D51" s="6" t="s">
        <v>23</v>
      </c>
      <c r="E51" s="6">
        <v>80</v>
      </c>
      <c r="F51" s="55">
        <f>2975*1.07</f>
        <v>3183.25</v>
      </c>
      <c r="G51" s="7">
        <f t="shared" si="8"/>
        <v>254660</v>
      </c>
      <c r="H51" s="78">
        <v>3150</v>
      </c>
      <c r="I51" s="78">
        <f>H51*E51</f>
        <v>252000</v>
      </c>
      <c r="J51" s="55"/>
      <c r="K51" s="55"/>
      <c r="L51" s="55"/>
      <c r="M51" s="55"/>
      <c r="N51" s="55"/>
      <c r="O51" s="55"/>
    </row>
    <row r="52" spans="1:15" ht="15.75" customHeight="1" x14ac:dyDescent="0.2">
      <c r="A52" s="5">
        <v>40</v>
      </c>
      <c r="B52" s="61" t="s">
        <v>27</v>
      </c>
      <c r="C52" s="33" t="s">
        <v>94</v>
      </c>
      <c r="D52" s="27" t="s">
        <v>23</v>
      </c>
      <c r="E52" s="6">
        <v>4</v>
      </c>
      <c r="F52" s="55">
        <f>2500*1.07</f>
        <v>2675</v>
      </c>
      <c r="G52" s="7">
        <f t="shared" si="8"/>
        <v>10700</v>
      </c>
      <c r="H52" s="78">
        <v>2650</v>
      </c>
      <c r="I52" s="78">
        <f>H52*E52</f>
        <v>10600</v>
      </c>
      <c r="J52" s="55"/>
      <c r="K52" s="55"/>
      <c r="L52" s="55"/>
      <c r="M52" s="55"/>
      <c r="N52" s="55"/>
      <c r="O52" s="55"/>
    </row>
    <row r="53" spans="1:15" s="14" customFormat="1" ht="13.5" customHeight="1" x14ac:dyDescent="0.2">
      <c r="A53" s="9"/>
      <c r="B53" s="10" t="s">
        <v>11</v>
      </c>
      <c r="C53" s="30"/>
      <c r="D53" s="11"/>
      <c r="E53" s="12"/>
      <c r="F53" s="23"/>
      <c r="G53" s="13">
        <f>G7+G10+G15+G39+G44+G49</f>
        <v>23906313.43</v>
      </c>
      <c r="H53" s="62"/>
      <c r="I53" s="62">
        <f>I45+I46+I47+I48+I51+I52</f>
        <v>401900</v>
      </c>
      <c r="J53" s="62"/>
      <c r="K53" s="62">
        <f>K8+K9</f>
        <v>849580</v>
      </c>
      <c r="L53" s="62"/>
      <c r="M53" s="62">
        <f>SUM(M16:M38)</f>
        <v>16722723</v>
      </c>
      <c r="N53" s="62"/>
      <c r="O53" s="62">
        <f>SUM(O40:O43)</f>
        <v>4318631</v>
      </c>
    </row>
    <row r="54" spans="1:15" ht="13.5" customHeight="1" x14ac:dyDescent="0.2">
      <c r="A54" s="15"/>
      <c r="B54" s="16"/>
      <c r="C54" s="16"/>
      <c r="D54" s="17"/>
      <c r="E54" s="18"/>
      <c r="F54" s="24"/>
      <c r="G54" s="19"/>
    </row>
    <row r="55" spans="1:15" x14ac:dyDescent="0.2">
      <c r="A55" s="80" t="s">
        <v>8</v>
      </c>
      <c r="B55" s="80"/>
      <c r="C55" s="80"/>
      <c r="D55" s="80"/>
      <c r="E55" s="80"/>
      <c r="F55" s="80"/>
      <c r="G55" s="80"/>
    </row>
    <row r="56" spans="1:15" s="20" customFormat="1" ht="37.5" customHeight="1" x14ac:dyDescent="0.2">
      <c r="A56" s="79" t="s">
        <v>12</v>
      </c>
      <c r="B56" s="79"/>
      <c r="C56" s="79"/>
      <c r="D56" s="79"/>
      <c r="E56" s="79"/>
      <c r="F56" s="79"/>
      <c r="G56" s="79"/>
    </row>
    <row r="57" spans="1:15" s="20" customFormat="1" ht="15" customHeight="1" x14ac:dyDescent="0.2">
      <c r="A57" s="69"/>
      <c r="B57" s="69"/>
      <c r="C57" s="69"/>
      <c r="D57" s="69"/>
      <c r="E57" s="69"/>
      <c r="F57" s="69"/>
      <c r="G57" s="69"/>
    </row>
    <row r="58" spans="1:15" s="74" customFormat="1" ht="15.75" x14ac:dyDescent="0.25">
      <c r="A58" s="70" t="s">
        <v>103</v>
      </c>
      <c r="B58" s="71"/>
      <c r="C58" s="72"/>
      <c r="D58" s="73"/>
      <c r="E58" s="73"/>
      <c r="G58" s="74" t="s">
        <v>104</v>
      </c>
    </row>
    <row r="59" spans="1:15" s="74" customFormat="1" ht="15.75" x14ac:dyDescent="0.25">
      <c r="A59" s="75"/>
      <c r="B59" s="72"/>
      <c r="C59" s="72"/>
      <c r="D59" s="72"/>
      <c r="E59" s="72"/>
    </row>
    <row r="60" spans="1:15" s="74" customFormat="1" ht="15.75" x14ac:dyDescent="0.25">
      <c r="A60" s="76" t="s">
        <v>105</v>
      </c>
      <c r="B60" s="72"/>
      <c r="C60" s="72"/>
      <c r="D60" s="76"/>
      <c r="E60" s="76"/>
      <c r="G60" s="74" t="s">
        <v>106</v>
      </c>
    </row>
    <row r="61" spans="1:15" s="74" customFormat="1" ht="15.75" x14ac:dyDescent="0.25">
      <c r="A61" s="76"/>
      <c r="B61" s="72"/>
      <c r="C61" s="72"/>
      <c r="D61" s="76"/>
      <c r="E61" s="76"/>
    </row>
    <row r="62" spans="1:15" s="74" customFormat="1" ht="15.75" x14ac:dyDescent="0.25">
      <c r="A62" s="76" t="s">
        <v>107</v>
      </c>
      <c r="B62" s="72"/>
      <c r="C62" s="72"/>
      <c r="D62" s="76"/>
      <c r="E62" s="76"/>
      <c r="G62" s="74" t="s">
        <v>116</v>
      </c>
    </row>
  </sheetData>
  <mergeCells count="9">
    <mergeCell ref="A56:G56"/>
    <mergeCell ref="A55:G55"/>
    <mergeCell ref="A4:G4"/>
    <mergeCell ref="B39:C39"/>
    <mergeCell ref="A10:D10"/>
    <mergeCell ref="A44:D44"/>
    <mergeCell ref="A6:G6"/>
    <mergeCell ref="A49:D49"/>
    <mergeCell ref="A7:D7"/>
  </mergeCells>
  <pageMargins left="0.19685039370078741" right="0.19685039370078741" top="0" bottom="0.19685039370078741" header="0.31496062992125984" footer="0.31496062992125984"/>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МИ</vt:lpstr>
      <vt:lpstr>МИ!Область_печати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lastPrinted>2022-02-09T09:38:17Z</cp:lastPrinted>
  <dcterms:created xsi:type="dcterms:W3CDTF">2019-03-11T10:08:28Z</dcterms:created>
  <dcterms:modified xsi:type="dcterms:W3CDTF">2022-02-09T09:38:21Z</dcterms:modified>
</cp:coreProperties>
</file>